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V:\VDC_Library\Water\"/>
    </mc:Choice>
  </mc:AlternateContent>
  <bookViews>
    <workbookView xWindow="0" yWindow="0" windowWidth="28800" windowHeight="12435"/>
  </bookViews>
  <sheets>
    <sheet name="Joint Restaint Calcs" sheetId="1" r:id="rId1"/>
    <sheet name="Reference" sheetId="2" r:id="rId2"/>
    <sheet name="Kn" sheetId="3" r:id="rId3"/>
    <sheet name="Pipe Table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23" i="1"/>
  <c r="C21" i="1"/>
  <c r="C20" i="1"/>
  <c r="C19" i="1"/>
  <c r="C11" i="1"/>
  <c r="C10" i="1"/>
  <c r="C9" i="1"/>
  <c r="C8" i="1"/>
  <c r="C7" i="1"/>
  <c r="G3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" i="4"/>
  <c r="C17" i="1"/>
  <c r="C27" i="1" l="1"/>
  <c r="G35" i="1" s="1"/>
  <c r="C28" i="1"/>
  <c r="G36" i="1" l="1"/>
  <c r="G34" i="1"/>
  <c r="G33" i="1"/>
  <c r="C35" i="1"/>
  <c r="C33" i="1"/>
  <c r="C34" i="1"/>
  <c r="C36" i="1"/>
</calcChain>
</file>

<file path=xl/sharedStrings.xml><?xml version="1.0" encoding="utf-8"?>
<sst xmlns="http://schemas.openxmlformats.org/spreadsheetml/2006/main" count="73" uniqueCount="55">
  <si>
    <t>Ductile Iron Pipe Joint Restaint Calculations</t>
  </si>
  <si>
    <t>Pipe/Installation Properties</t>
  </si>
  <si>
    <t>Design Pressure:</t>
  </si>
  <si>
    <t>Pipe OD:</t>
  </si>
  <si>
    <t>Pipe Weight/Ft:</t>
  </si>
  <si>
    <t>Depth of Cover:</t>
  </si>
  <si>
    <t>psi</t>
  </si>
  <si>
    <t>in</t>
  </si>
  <si>
    <t>lbs/ft</t>
  </si>
  <si>
    <t>ft</t>
  </si>
  <si>
    <t>Polyethylene Encased:</t>
  </si>
  <si>
    <t>(Y/N)</t>
  </si>
  <si>
    <t>Soil Type:</t>
  </si>
  <si>
    <t>Polyethylene Encased</t>
  </si>
  <si>
    <t>Yes</t>
  </si>
  <si>
    <t>No</t>
  </si>
  <si>
    <t>Soil Type</t>
  </si>
  <si>
    <t>Laying Condition:</t>
  </si>
  <si>
    <t>Kn:</t>
  </si>
  <si>
    <t>Clay 1</t>
  </si>
  <si>
    <t>Silt 1</t>
  </si>
  <si>
    <t>Clay 2</t>
  </si>
  <si>
    <t>Silt 2</t>
  </si>
  <si>
    <t>Coh-gran</t>
  </si>
  <si>
    <t>Sand Silt</t>
  </si>
  <si>
    <t>Good Sand and Gravel</t>
  </si>
  <si>
    <t>Laying Type</t>
  </si>
  <si>
    <t>DIP Pipe Size:</t>
  </si>
  <si>
    <t>Pipe Diameter</t>
  </si>
  <si>
    <t>Pipe OD</t>
  </si>
  <si>
    <t>Pressure</t>
  </si>
  <si>
    <t>Cross sectional Area</t>
  </si>
  <si>
    <t>Weight/ft Water</t>
  </si>
  <si>
    <t>Weight/ft Total</t>
  </si>
  <si>
    <t>Weight/ft Pipe</t>
  </si>
  <si>
    <t>Water Weight/Ft:</t>
  </si>
  <si>
    <t>angle 1</t>
  </si>
  <si>
    <t>f</t>
  </si>
  <si>
    <t>C</t>
  </si>
  <si>
    <t>fc</t>
  </si>
  <si>
    <t>gamma</t>
  </si>
  <si>
    <t>Angle 1:</t>
  </si>
  <si>
    <t>F</t>
  </si>
  <si>
    <t>lay condition 2 f</t>
  </si>
  <si>
    <t>lay condition 2 fc</t>
  </si>
  <si>
    <t>Frictional Resistance Calc:</t>
  </si>
  <si>
    <t>Fs =</t>
  </si>
  <si>
    <t xml:space="preserve">Pp = </t>
  </si>
  <si>
    <t>Horizontal Fitting Restraint Length:</t>
  </si>
  <si>
    <t>Fitting</t>
  </si>
  <si>
    <t>Restraint Length</t>
  </si>
  <si>
    <t>Pipe Cross Sectional Area:</t>
  </si>
  <si>
    <t>Vertical Fitting Restraint Length:</t>
  </si>
  <si>
    <t>lock/unlock password: gpd</t>
  </si>
  <si>
    <t>*restraint length listed is for each side of the bend.  Total restraint length should be doubled, centered on the fitting.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</si>
</sst>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right"/>
    </xf>
    <xf numFmtId="0" fontId="0" fillId="3" borderId="0" xfId="0" applyFill="1"/>
    <xf numFmtId="0" fontId="0" fillId="0" borderId="0" xfId="0" applyFill="1"/>
    <xf numFmtId="1" fontId="0" fillId="0" borderId="0" xfId="0" applyNumberForma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2" borderId="0" xfId="0" applyFill="1" applyProtection="1">
      <protection locked="0"/>
    </xf>
    <xf numFmtId="0" fontId="0" fillId="2" borderId="0" xfId="0" applyFill="1" applyAlignment="1" applyProtection="1">
      <alignment horizontal="right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47625</xdr:colOff>
      <xdr:row>1</xdr:row>
      <xdr:rowOff>114300</xdr:rowOff>
    </xdr:from>
    <xdr:to>
      <xdr:col>29</xdr:col>
      <xdr:colOff>238125</xdr:colOff>
      <xdr:row>26</xdr:row>
      <xdr:rowOff>66675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10825" y="304800"/>
          <a:ext cx="7505700" cy="4714875"/>
        </a:xfrm>
        <a:prstGeom prst="rect">
          <a:avLst/>
        </a:prstGeom>
      </xdr:spPr>
    </xdr:pic>
    <xdr:clientData/>
  </xdr:twoCellAnchor>
  <xdr:twoCellAnchor editAs="oneCell">
    <xdr:from>
      <xdr:col>4</xdr:col>
      <xdr:colOff>400050</xdr:colOff>
      <xdr:row>3</xdr:row>
      <xdr:rowOff>47625</xdr:rowOff>
    </xdr:from>
    <xdr:to>
      <xdr:col>16</xdr:col>
      <xdr:colOff>457200</xdr:colOff>
      <xdr:row>22</xdr:row>
      <xdr:rowOff>152400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38450" y="619125"/>
          <a:ext cx="7372350" cy="37242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8"/>
  <sheetViews>
    <sheetView tabSelected="1" workbookViewId="0">
      <selection activeCell="C16" sqref="C16"/>
    </sheetView>
  </sheetViews>
  <sheetFormatPr defaultRowHeight="15" x14ac:dyDescent="0.25"/>
  <sheetData>
    <row r="1" spans="1:16" x14ac:dyDescent="0.25">
      <c r="P1" t="s">
        <v>53</v>
      </c>
    </row>
    <row r="2" spans="1:16" x14ac:dyDescent="0.25">
      <c r="A2" t="s">
        <v>0</v>
      </c>
    </row>
    <row r="4" spans="1:16" x14ac:dyDescent="0.25">
      <c r="B4" t="s">
        <v>1</v>
      </c>
    </row>
    <row r="6" spans="1:16" x14ac:dyDescent="0.25">
      <c r="B6" s="1" t="s">
        <v>27</v>
      </c>
      <c r="C6" s="7">
        <v>12</v>
      </c>
      <c r="D6" t="s">
        <v>7</v>
      </c>
    </row>
    <row r="7" spans="1:16" x14ac:dyDescent="0.25">
      <c r="B7" s="1" t="s">
        <v>2</v>
      </c>
      <c r="C7" s="2">
        <f>LOOKUP($C$6,'Pipe Table'!$A$2:$A$19,'Pipe Table'!B$2:B$19)</f>
        <v>350</v>
      </c>
      <c r="D7" t="s">
        <v>6</v>
      </c>
    </row>
    <row r="8" spans="1:16" x14ac:dyDescent="0.25">
      <c r="B8" s="1" t="s">
        <v>3</v>
      </c>
      <c r="C8" s="2">
        <f>LOOKUP($C$6,'Pipe Table'!$A$2:$A$19,'Pipe Table'!C$2:C$19)</f>
        <v>1.1000000000000001</v>
      </c>
      <c r="D8" t="s">
        <v>7</v>
      </c>
    </row>
    <row r="9" spans="1:16" x14ac:dyDescent="0.25">
      <c r="B9" s="1" t="s">
        <v>51</v>
      </c>
      <c r="C9" s="2">
        <f>LOOKUP($C$6,'Pipe Table'!$A$2:$A$19,'Pipe Table'!D$2:D$19)</f>
        <v>136.80000000000001</v>
      </c>
      <c r="D9" t="s">
        <v>7</v>
      </c>
    </row>
    <row r="10" spans="1:16" x14ac:dyDescent="0.25">
      <c r="B10" s="1" t="s">
        <v>4</v>
      </c>
      <c r="C10" s="2">
        <f>LOOKUP($C$6,'Pipe Table'!$A$2:$A$19,'Pipe Table'!E$2:E$19)</f>
        <v>39</v>
      </c>
      <c r="D10" t="s">
        <v>8</v>
      </c>
    </row>
    <row r="11" spans="1:16" x14ac:dyDescent="0.25">
      <c r="B11" s="1" t="s">
        <v>35</v>
      </c>
      <c r="C11" s="2">
        <f>LOOKUP($C$6,'Pipe Table'!$A$2:$A$19,'Pipe Table'!F$2:F$19)</f>
        <v>53</v>
      </c>
      <c r="D11" t="s">
        <v>8</v>
      </c>
    </row>
    <row r="13" spans="1:16" x14ac:dyDescent="0.25">
      <c r="B13" s="1" t="s">
        <v>5</v>
      </c>
      <c r="C13" s="7">
        <v>5</v>
      </c>
      <c r="D13" t="s">
        <v>9</v>
      </c>
    </row>
    <row r="14" spans="1:16" x14ac:dyDescent="0.25">
      <c r="B14" s="1" t="s">
        <v>10</v>
      </c>
      <c r="C14" s="8" t="s">
        <v>15</v>
      </c>
      <c r="D14" t="s">
        <v>11</v>
      </c>
    </row>
    <row r="15" spans="1:16" x14ac:dyDescent="0.25">
      <c r="B15" s="1" t="s">
        <v>12</v>
      </c>
      <c r="C15" s="7" t="s">
        <v>25</v>
      </c>
    </row>
    <row r="16" spans="1:16" x14ac:dyDescent="0.25">
      <c r="B16" s="1" t="s">
        <v>17</v>
      </c>
      <c r="C16" s="7">
        <v>4</v>
      </c>
      <c r="F16" s="3"/>
    </row>
    <row r="17" spans="1:8" x14ac:dyDescent="0.25">
      <c r="B17" s="1" t="s">
        <v>18</v>
      </c>
      <c r="C17" s="2">
        <f>VLOOKUP('Joint Restaint Calcs'!C15,Kn!A2:E8,C16,FALSE)</f>
        <v>0.85</v>
      </c>
    </row>
    <row r="19" spans="1:8" x14ac:dyDescent="0.25">
      <c r="B19" s="1" t="s">
        <v>41</v>
      </c>
      <c r="C19" s="2">
        <f>VLOOKUP('Joint Restaint Calcs'!$C$15,Kn!$A$2:$K$8,6,FALSE)</f>
        <v>36</v>
      </c>
    </row>
    <row r="20" spans="1:8" x14ac:dyDescent="0.25">
      <c r="B20" s="1" t="s">
        <v>42</v>
      </c>
      <c r="C20" s="2">
        <f>IF(C16=2,VLOOKUP('Joint Restaint Calcs'!$C$15,Kn!$A$2:$K$8,11,FALSE),VLOOKUP('Joint Restaint Calcs'!$C$15,Kn!$A$2:$K$8,7,FALSE))</f>
        <v>0.8</v>
      </c>
    </row>
    <row r="21" spans="1:8" x14ac:dyDescent="0.25">
      <c r="B21" s="1" t="s">
        <v>38</v>
      </c>
      <c r="C21" s="2">
        <f>VLOOKUP('Joint Restaint Calcs'!$C$15,Kn!$A$2:$K$8,8,FALSE)</f>
        <v>0</v>
      </c>
    </row>
    <row r="22" spans="1:8" x14ac:dyDescent="0.25">
      <c r="B22" s="1" t="s">
        <v>39</v>
      </c>
      <c r="C22" s="2">
        <f>IF(C16=2,VLOOKUP('Joint Restaint Calcs'!$C$15,Kn!$A$2:$L$8,12,FALSE),VLOOKUP('Joint Restaint Calcs'!$C$15,Kn!$A$2:$L$8,9,FALSE))</f>
        <v>0</v>
      </c>
    </row>
    <row r="23" spans="1:8" x14ac:dyDescent="0.25">
      <c r="B23" s="1" t="s">
        <v>40</v>
      </c>
      <c r="C23" s="2">
        <f>VLOOKUP('Joint Restaint Calcs'!$C$15,Kn!$A$2:$K$8,10,FALSE)</f>
        <v>100</v>
      </c>
    </row>
    <row r="26" spans="1:8" x14ac:dyDescent="0.25">
      <c r="A26" t="s">
        <v>45</v>
      </c>
    </row>
    <row r="27" spans="1:8" x14ac:dyDescent="0.25">
      <c r="B27" s="1" t="s">
        <v>46</v>
      </c>
      <c r="C27" s="4">
        <f>IF(C14="Yes",0.7*(((3.14*C8)/2)*(C22*C21)+(2*C13*C23*C8+C10+C11)*TAN((C20*C19)*3.14/180)),((3.14*C8)/2)*(C22*C21)+(2*C13*C23*C8+C10+C11)*TAN((C20*C19)*3.14/180))</f>
        <v>654.91204723207704</v>
      </c>
      <c r="D27" t="s">
        <v>8</v>
      </c>
      <c r="H27" s="4"/>
    </row>
    <row r="28" spans="1:8" x14ac:dyDescent="0.25">
      <c r="B28" s="1" t="s">
        <v>47</v>
      </c>
      <c r="C28" s="4">
        <f>C23*(C13+0.5*C8)*(TAN((45+C19/2)*(3.14/180)))^2+2*C21*((TAN((45+C19/2)*(3.14/180))^2))^0.5</f>
        <v>2131.8898198071797</v>
      </c>
    </row>
    <row r="30" spans="1:8" x14ac:dyDescent="0.25">
      <c r="A30" t="s">
        <v>48</v>
      </c>
      <c r="F30" t="s">
        <v>52</v>
      </c>
    </row>
    <row r="32" spans="1:8" x14ac:dyDescent="0.25">
      <c r="B32" t="s">
        <v>49</v>
      </c>
      <c r="C32" t="s">
        <v>50</v>
      </c>
      <c r="F32" t="s">
        <v>49</v>
      </c>
      <c r="G32" t="s">
        <v>50</v>
      </c>
    </row>
    <row r="33" spans="1:7" x14ac:dyDescent="0.25">
      <c r="B33" s="5">
        <v>11.25</v>
      </c>
      <c r="C33" s="6">
        <f>(1.5*$C$7*$C$9*TAN(($B33/2)*(3.14/180)))/($C$27+(0.5*$C$17*$C$28*$C$8))</f>
        <v>4.2808001580975867</v>
      </c>
      <c r="F33" s="5">
        <v>11.25</v>
      </c>
      <c r="G33" s="6">
        <f>(1.5*$C$7*$C$9*(TAN((F33/2)*(3.14/180)))/$C$27)</f>
        <v>10.79540901717421</v>
      </c>
    </row>
    <row r="34" spans="1:7" x14ac:dyDescent="0.25">
      <c r="B34" s="5">
        <v>22.5</v>
      </c>
      <c r="C34" s="6">
        <f t="shared" ref="C34:C36" si="0">(1.5*$C$7*$C$9*TAN(($B34/2)*(3.14/180)))/($C$27+(0.5*$C$17*$C$28*$C$8))</f>
        <v>8.6453797527080667</v>
      </c>
      <c r="F34" s="5">
        <v>22.5</v>
      </c>
      <c r="G34" s="6">
        <f t="shared" ref="G34:G36" si="1">(1.5*$C$7*$C$9*(TAN((F34/2)*(3.14/180)))/$C$27)</f>
        <v>21.802094723514632</v>
      </c>
    </row>
    <row r="35" spans="1:7" x14ac:dyDescent="0.25">
      <c r="B35" s="5">
        <v>45</v>
      </c>
      <c r="C35" s="6">
        <f t="shared" si="0"/>
        <v>18.002299957502178</v>
      </c>
      <c r="F35" s="5">
        <v>45</v>
      </c>
      <c r="G35" s="6">
        <f t="shared" si="1"/>
        <v>45.398566649619248</v>
      </c>
    </row>
    <row r="36" spans="1:7" x14ac:dyDescent="0.25">
      <c r="B36" s="5">
        <v>90</v>
      </c>
      <c r="C36" s="6">
        <f t="shared" si="0"/>
        <v>43.451265882108316</v>
      </c>
      <c r="F36" s="5">
        <v>90</v>
      </c>
      <c r="G36" s="6">
        <f t="shared" si="1"/>
        <v>109.57628718641365</v>
      </c>
    </row>
    <row r="38" spans="1:7" x14ac:dyDescent="0.25">
      <c r="A38" t="s">
        <v>54</v>
      </c>
    </row>
  </sheetData>
  <sheetProtection algorithmName="SHA-512" hashValue="o7SdOsNTkOKubo2UnvbKwH8QCw8XBbEyRQ1Nvjju3dRuDDt1NBOhNawVRjI0LPG28bv7WhVspCox0H36hNqIUA==" saltValue="PtieTQUO+clUdRqV7lYjCA==" spinCount="100000" sheet="1" objects="1" scenarios="1" selectLockedCells="1"/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Reference!$A$2:$A$3</xm:f>
          </x14:formula1>
          <xm:sqref>C14</xm:sqref>
        </x14:dataValidation>
        <x14:dataValidation type="list" allowBlank="1" showInputMessage="1" showErrorMessage="1">
          <x14:formula1>
            <xm:f>Reference!$B$2:$B$8</xm:f>
          </x14:formula1>
          <xm:sqref>C15</xm:sqref>
        </x14:dataValidation>
        <x14:dataValidation type="list" allowBlank="1" showInputMessage="1" showErrorMessage="1">
          <x14:formula1>
            <xm:f>Reference!$C$2:$C$5</xm:f>
          </x14:formula1>
          <xm:sqref>C16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B8" sqref="B8"/>
    </sheetView>
  </sheetViews>
  <sheetFormatPr defaultRowHeight="15" x14ac:dyDescent="0.25"/>
  <cols>
    <col min="1" max="1" width="20.7109375" bestFit="1" customWidth="1"/>
    <col min="2" max="2" width="20.5703125" bestFit="1" customWidth="1"/>
  </cols>
  <sheetData>
    <row r="1" spans="1:3" x14ac:dyDescent="0.25">
      <c r="A1" s="1" t="s">
        <v>13</v>
      </c>
      <c r="B1" t="s">
        <v>16</v>
      </c>
      <c r="C1" t="s">
        <v>26</v>
      </c>
    </row>
    <row r="2" spans="1:3" x14ac:dyDescent="0.25">
      <c r="A2" t="s">
        <v>14</v>
      </c>
      <c r="B2" t="s">
        <v>19</v>
      </c>
      <c r="C2">
        <v>2</v>
      </c>
    </row>
    <row r="3" spans="1:3" x14ac:dyDescent="0.25">
      <c r="A3" t="s">
        <v>15</v>
      </c>
      <c r="B3" t="s">
        <v>20</v>
      </c>
      <c r="C3">
        <v>3</v>
      </c>
    </row>
    <row r="4" spans="1:3" x14ac:dyDescent="0.25">
      <c r="B4" t="s">
        <v>21</v>
      </c>
      <c r="C4">
        <v>4</v>
      </c>
    </row>
    <row r="5" spans="1:3" x14ac:dyDescent="0.25">
      <c r="B5" t="s">
        <v>22</v>
      </c>
      <c r="C5">
        <v>5</v>
      </c>
    </row>
    <row r="6" spans="1:3" x14ac:dyDescent="0.25">
      <c r="B6" t="s">
        <v>23</v>
      </c>
    </row>
    <row r="7" spans="1:3" x14ac:dyDescent="0.25">
      <c r="B7" t="s">
        <v>24</v>
      </c>
    </row>
    <row r="8" spans="1:3" x14ac:dyDescent="0.25">
      <c r="B8" t="s">
        <v>25</v>
      </c>
    </row>
  </sheetData>
  <sheetProtection algorithmName="SHA-512" hashValue="yp5e9VfiKJ9NgoXSz8O8zMvt5AlnbLQ4FASQzqfKYDEew244d/5+nM22iWGTaYUqoJDcrUcYefp4smZ9r6dD0A==" saltValue="IKhAY/HNBA3ZzKzdeMs4Zw==" spinCount="100000" sheet="1" objects="1" scenarios="1" selectLockedCells="1" selectUnlockedCell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workbookViewId="0">
      <selection activeCell="A6" sqref="A6:XFD6"/>
    </sheetView>
  </sheetViews>
  <sheetFormatPr defaultRowHeight="15" x14ac:dyDescent="0.25"/>
  <cols>
    <col min="11" max="11" width="23.85546875" customWidth="1"/>
    <col min="12" max="12" width="18.5703125" customWidth="1"/>
  </cols>
  <sheetData>
    <row r="1" spans="1:12" x14ac:dyDescent="0.25">
      <c r="B1">
        <v>2</v>
      </c>
      <c r="C1">
        <v>3</v>
      </c>
      <c r="D1">
        <v>4</v>
      </c>
      <c r="E1">
        <v>5</v>
      </c>
      <c r="F1" t="s">
        <v>36</v>
      </c>
      <c r="G1" t="s">
        <v>37</v>
      </c>
      <c r="H1" t="s">
        <v>38</v>
      </c>
      <c r="I1" t="s">
        <v>39</v>
      </c>
      <c r="J1" t="s">
        <v>40</v>
      </c>
      <c r="K1" t="s">
        <v>43</v>
      </c>
      <c r="L1" t="s">
        <v>44</v>
      </c>
    </row>
    <row r="2" spans="1:12" x14ac:dyDescent="0.25">
      <c r="A2" t="s">
        <v>19</v>
      </c>
      <c r="B2">
        <v>0.2</v>
      </c>
      <c r="C2">
        <v>0.4</v>
      </c>
      <c r="D2">
        <v>0.6</v>
      </c>
      <c r="E2">
        <v>0.85</v>
      </c>
      <c r="F2">
        <v>0</v>
      </c>
      <c r="G2">
        <v>0</v>
      </c>
      <c r="H2">
        <v>300</v>
      </c>
      <c r="I2">
        <v>0.8</v>
      </c>
      <c r="J2">
        <v>90</v>
      </c>
      <c r="K2">
        <v>0</v>
      </c>
      <c r="L2">
        <v>0.5</v>
      </c>
    </row>
    <row r="3" spans="1:12" x14ac:dyDescent="0.25">
      <c r="A3" t="s">
        <v>20</v>
      </c>
      <c r="B3">
        <v>0.2</v>
      </c>
      <c r="C3">
        <v>0.4</v>
      </c>
      <c r="D3">
        <v>0.6</v>
      </c>
      <c r="E3">
        <v>0.85</v>
      </c>
      <c r="F3">
        <v>29</v>
      </c>
      <c r="G3">
        <v>0.75</v>
      </c>
      <c r="H3">
        <v>0</v>
      </c>
      <c r="I3">
        <v>0</v>
      </c>
      <c r="J3">
        <v>90</v>
      </c>
      <c r="K3">
        <v>0.5</v>
      </c>
      <c r="L3">
        <v>0</v>
      </c>
    </row>
    <row r="4" spans="1:12" x14ac:dyDescent="0.25">
      <c r="A4" t="s">
        <v>21</v>
      </c>
      <c r="B4">
        <v>0.4</v>
      </c>
      <c r="C4">
        <v>0.6</v>
      </c>
      <c r="D4">
        <v>0.85</v>
      </c>
      <c r="E4">
        <v>1</v>
      </c>
      <c r="F4">
        <v>0</v>
      </c>
      <c r="G4">
        <v>0</v>
      </c>
      <c r="H4">
        <v>300</v>
      </c>
      <c r="I4">
        <v>0.8</v>
      </c>
      <c r="J4">
        <v>90</v>
      </c>
      <c r="K4">
        <v>0</v>
      </c>
      <c r="L4">
        <v>0.5</v>
      </c>
    </row>
    <row r="5" spans="1:12" x14ac:dyDescent="0.25">
      <c r="A5" t="s">
        <v>22</v>
      </c>
      <c r="B5">
        <v>0.4</v>
      </c>
      <c r="C5">
        <v>0.6</v>
      </c>
      <c r="D5">
        <v>0.85</v>
      </c>
      <c r="E5">
        <v>1</v>
      </c>
      <c r="F5">
        <v>29</v>
      </c>
      <c r="G5">
        <v>0.75</v>
      </c>
      <c r="H5">
        <v>0</v>
      </c>
      <c r="I5">
        <v>0</v>
      </c>
      <c r="J5">
        <v>90</v>
      </c>
      <c r="K5">
        <v>0.5</v>
      </c>
      <c r="L5">
        <v>0</v>
      </c>
    </row>
    <row r="6" spans="1:12" x14ac:dyDescent="0.25">
      <c r="A6" t="s">
        <v>23</v>
      </c>
      <c r="B6">
        <v>0.4</v>
      </c>
      <c r="C6">
        <v>0.6</v>
      </c>
      <c r="D6">
        <v>0.85</v>
      </c>
      <c r="E6">
        <v>1</v>
      </c>
      <c r="F6">
        <v>20</v>
      </c>
      <c r="G6">
        <v>0.65</v>
      </c>
      <c r="H6">
        <v>200</v>
      </c>
      <c r="I6">
        <v>0.4</v>
      </c>
      <c r="J6">
        <v>90</v>
      </c>
      <c r="K6">
        <v>0.4</v>
      </c>
      <c r="L6">
        <v>0.4</v>
      </c>
    </row>
    <row r="7" spans="1:12" x14ac:dyDescent="0.25">
      <c r="A7" t="s">
        <v>24</v>
      </c>
      <c r="B7">
        <v>0.4</v>
      </c>
      <c r="C7">
        <v>0.6</v>
      </c>
      <c r="D7">
        <v>0.85</v>
      </c>
      <c r="E7">
        <v>1</v>
      </c>
      <c r="F7">
        <v>30</v>
      </c>
      <c r="G7">
        <v>0.75</v>
      </c>
      <c r="H7">
        <v>0</v>
      </c>
      <c r="I7">
        <v>0</v>
      </c>
      <c r="J7">
        <v>90</v>
      </c>
      <c r="K7">
        <v>0.5</v>
      </c>
      <c r="L7">
        <v>0</v>
      </c>
    </row>
    <row r="8" spans="1:12" x14ac:dyDescent="0.25">
      <c r="A8" t="s">
        <v>25</v>
      </c>
      <c r="B8">
        <v>0.4</v>
      </c>
      <c r="C8">
        <v>0.6</v>
      </c>
      <c r="D8">
        <v>0.85</v>
      </c>
      <c r="E8">
        <v>1</v>
      </c>
      <c r="F8">
        <v>36</v>
      </c>
      <c r="G8">
        <v>0.8</v>
      </c>
      <c r="H8">
        <v>0</v>
      </c>
      <c r="I8">
        <v>0</v>
      </c>
      <c r="J8">
        <v>100</v>
      </c>
      <c r="K8">
        <v>0.75</v>
      </c>
      <c r="L8">
        <v>0</v>
      </c>
    </row>
  </sheetData>
  <sheetProtection algorithmName="SHA-512" hashValue="uG0g03nTArjPmVOR97eF2o7xhJency0R5xoRq3gyJLwg1/m2C+ccrEY4SMkV0fqTczbKxYiFQwT1p712DJwjgg==" saltValue="EHQYGUV8DG0QCGcC7lSx5w==" spinCount="100000" sheet="1" objects="1" scenarios="1" selectLockedCells="1" selectUnlockedCell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G11" sqref="G11"/>
    </sheetView>
  </sheetViews>
  <sheetFormatPr defaultRowHeight="15" x14ac:dyDescent="0.25"/>
  <cols>
    <col min="1" max="1" width="13.85546875" bestFit="1" customWidth="1"/>
    <col min="2" max="2" width="13.7109375" bestFit="1" customWidth="1"/>
    <col min="4" max="4" width="19" bestFit="1" customWidth="1"/>
    <col min="5" max="5" width="14.28515625" bestFit="1" customWidth="1"/>
    <col min="6" max="6" width="15.7109375" bestFit="1" customWidth="1"/>
    <col min="7" max="7" width="12.28515625" bestFit="1" customWidth="1"/>
  </cols>
  <sheetData>
    <row r="1" spans="1:7" x14ac:dyDescent="0.25">
      <c r="A1" t="s">
        <v>28</v>
      </c>
      <c r="B1" t="s">
        <v>30</v>
      </c>
      <c r="C1" t="s">
        <v>29</v>
      </c>
      <c r="D1" t="s">
        <v>31</v>
      </c>
      <c r="E1" t="s">
        <v>34</v>
      </c>
      <c r="F1" t="s">
        <v>32</v>
      </c>
      <c r="G1" t="s">
        <v>33</v>
      </c>
    </row>
    <row r="2" spans="1:7" x14ac:dyDescent="0.25">
      <c r="A2">
        <v>3</v>
      </c>
      <c r="B2">
        <v>350</v>
      </c>
      <c r="C2">
        <v>0.33</v>
      </c>
      <c r="D2">
        <v>12.3</v>
      </c>
      <c r="E2">
        <v>10</v>
      </c>
      <c r="F2">
        <v>4</v>
      </c>
      <c r="G2">
        <f>E2+F2</f>
        <v>14</v>
      </c>
    </row>
    <row r="3" spans="1:7" x14ac:dyDescent="0.25">
      <c r="A3">
        <v>4</v>
      </c>
      <c r="B3">
        <v>350</v>
      </c>
      <c r="C3">
        <v>0.4</v>
      </c>
      <c r="D3">
        <v>18.100000000000001</v>
      </c>
      <c r="E3">
        <v>12</v>
      </c>
      <c r="F3">
        <v>6</v>
      </c>
      <c r="G3">
        <f t="shared" ref="G3:G19" si="0">E3+F3</f>
        <v>18</v>
      </c>
    </row>
    <row r="4" spans="1:7" x14ac:dyDescent="0.25">
      <c r="A4">
        <v>6</v>
      </c>
      <c r="B4">
        <v>350</v>
      </c>
      <c r="C4">
        <v>0.57999999999999996</v>
      </c>
      <c r="D4">
        <v>37.299999999999997</v>
      </c>
      <c r="E4">
        <v>18</v>
      </c>
      <c r="F4">
        <v>13</v>
      </c>
      <c r="G4">
        <f t="shared" si="0"/>
        <v>31</v>
      </c>
    </row>
    <row r="5" spans="1:7" x14ac:dyDescent="0.25">
      <c r="A5">
        <v>8</v>
      </c>
      <c r="B5">
        <v>350</v>
      </c>
      <c r="C5">
        <v>0.75</v>
      </c>
      <c r="D5">
        <v>64.3</v>
      </c>
      <c r="E5">
        <v>24</v>
      </c>
      <c r="F5">
        <v>24</v>
      </c>
      <c r="G5">
        <f t="shared" si="0"/>
        <v>48</v>
      </c>
    </row>
    <row r="6" spans="1:7" x14ac:dyDescent="0.25">
      <c r="A6">
        <v>10</v>
      </c>
      <c r="B6">
        <v>350</v>
      </c>
      <c r="C6">
        <v>0.93</v>
      </c>
      <c r="D6">
        <v>96.7</v>
      </c>
      <c r="E6">
        <v>30</v>
      </c>
      <c r="F6">
        <v>37</v>
      </c>
      <c r="G6">
        <f t="shared" si="0"/>
        <v>67</v>
      </c>
    </row>
    <row r="7" spans="1:7" x14ac:dyDescent="0.25">
      <c r="A7">
        <v>12</v>
      </c>
      <c r="B7">
        <v>350</v>
      </c>
      <c r="C7">
        <v>1.1000000000000001</v>
      </c>
      <c r="D7">
        <v>136.80000000000001</v>
      </c>
      <c r="E7">
        <v>39</v>
      </c>
      <c r="F7">
        <v>53</v>
      </c>
      <c r="G7">
        <f t="shared" si="0"/>
        <v>92</v>
      </c>
    </row>
    <row r="8" spans="1:7" x14ac:dyDescent="0.25">
      <c r="A8">
        <v>14</v>
      </c>
      <c r="B8">
        <v>250</v>
      </c>
      <c r="C8">
        <v>1.28</v>
      </c>
      <c r="D8">
        <v>183.8</v>
      </c>
      <c r="E8">
        <v>47</v>
      </c>
      <c r="F8">
        <v>72</v>
      </c>
      <c r="G8">
        <f t="shared" si="0"/>
        <v>119</v>
      </c>
    </row>
    <row r="9" spans="1:7" x14ac:dyDescent="0.25">
      <c r="A9">
        <v>16</v>
      </c>
      <c r="B9">
        <v>250</v>
      </c>
      <c r="C9">
        <v>1.45</v>
      </c>
      <c r="D9">
        <v>237.7</v>
      </c>
      <c r="E9">
        <v>57</v>
      </c>
      <c r="F9">
        <v>94</v>
      </c>
      <c r="G9">
        <f t="shared" si="0"/>
        <v>151</v>
      </c>
    </row>
    <row r="10" spans="1:7" x14ac:dyDescent="0.25">
      <c r="A10">
        <v>18</v>
      </c>
      <c r="B10">
        <v>250</v>
      </c>
      <c r="C10">
        <v>1.63</v>
      </c>
      <c r="D10">
        <v>298.60000000000002</v>
      </c>
      <c r="E10">
        <v>66</v>
      </c>
      <c r="F10">
        <v>119</v>
      </c>
      <c r="G10">
        <f t="shared" si="0"/>
        <v>185</v>
      </c>
    </row>
    <row r="11" spans="1:7" x14ac:dyDescent="0.25">
      <c r="A11">
        <v>20</v>
      </c>
      <c r="B11">
        <v>250</v>
      </c>
      <c r="C11">
        <v>1.8</v>
      </c>
      <c r="D11">
        <v>366.4</v>
      </c>
      <c r="E11">
        <v>78</v>
      </c>
      <c r="F11">
        <v>147</v>
      </c>
      <c r="G11">
        <f t="shared" si="0"/>
        <v>225</v>
      </c>
    </row>
    <row r="12" spans="1:7" x14ac:dyDescent="0.25">
      <c r="A12">
        <v>24</v>
      </c>
      <c r="B12">
        <v>200</v>
      </c>
      <c r="C12">
        <v>2.15</v>
      </c>
      <c r="D12">
        <v>5227</v>
      </c>
      <c r="E12">
        <v>93</v>
      </c>
      <c r="F12">
        <v>212</v>
      </c>
      <c r="G12">
        <f t="shared" si="0"/>
        <v>305</v>
      </c>
    </row>
    <row r="13" spans="1:7" x14ac:dyDescent="0.25">
      <c r="A13">
        <v>30</v>
      </c>
      <c r="B13">
        <v>150</v>
      </c>
      <c r="C13">
        <v>2.67</v>
      </c>
      <c r="D13">
        <v>804.2</v>
      </c>
      <c r="E13">
        <v>123</v>
      </c>
      <c r="F13">
        <v>329</v>
      </c>
      <c r="G13">
        <f t="shared" si="0"/>
        <v>452</v>
      </c>
    </row>
    <row r="14" spans="1:7" x14ac:dyDescent="0.25">
      <c r="A14">
        <v>36</v>
      </c>
      <c r="B14">
        <v>150</v>
      </c>
      <c r="C14">
        <v>3.19</v>
      </c>
      <c r="D14">
        <v>1152</v>
      </c>
      <c r="E14">
        <v>163</v>
      </c>
      <c r="F14">
        <v>473</v>
      </c>
      <c r="G14">
        <f t="shared" si="0"/>
        <v>636</v>
      </c>
    </row>
    <row r="15" spans="1:7" x14ac:dyDescent="0.25">
      <c r="A15">
        <v>42</v>
      </c>
      <c r="B15">
        <v>150</v>
      </c>
      <c r="C15">
        <v>3.71</v>
      </c>
      <c r="D15">
        <v>1555.2</v>
      </c>
      <c r="E15">
        <v>206</v>
      </c>
      <c r="F15">
        <v>642</v>
      </c>
      <c r="G15">
        <f t="shared" si="0"/>
        <v>848</v>
      </c>
    </row>
    <row r="16" spans="1:7" x14ac:dyDescent="0.25">
      <c r="A16">
        <v>48</v>
      </c>
      <c r="B16">
        <v>150</v>
      </c>
      <c r="C16">
        <v>4.2300000000000004</v>
      </c>
      <c r="D16">
        <v>2026.8</v>
      </c>
      <c r="E16">
        <v>261</v>
      </c>
      <c r="F16">
        <v>838</v>
      </c>
      <c r="G16">
        <f t="shared" si="0"/>
        <v>1099</v>
      </c>
    </row>
    <row r="17" spans="1:7" x14ac:dyDescent="0.25">
      <c r="A17">
        <v>54</v>
      </c>
      <c r="B17">
        <v>150</v>
      </c>
      <c r="C17">
        <v>4.8</v>
      </c>
      <c r="D17">
        <v>2602.1</v>
      </c>
      <c r="E17">
        <v>325</v>
      </c>
      <c r="F17">
        <v>1078</v>
      </c>
      <c r="G17">
        <f t="shared" si="0"/>
        <v>1403</v>
      </c>
    </row>
    <row r="18" spans="1:7" x14ac:dyDescent="0.25">
      <c r="A18">
        <v>60</v>
      </c>
      <c r="B18">
        <v>150</v>
      </c>
      <c r="C18">
        <v>5.13</v>
      </c>
      <c r="D18">
        <v>2981.2</v>
      </c>
      <c r="E18">
        <v>371</v>
      </c>
      <c r="F18">
        <v>1237</v>
      </c>
      <c r="G18">
        <f t="shared" si="0"/>
        <v>1608</v>
      </c>
    </row>
    <row r="19" spans="1:7" x14ac:dyDescent="0.25">
      <c r="A19">
        <v>64</v>
      </c>
      <c r="B19">
        <v>150</v>
      </c>
      <c r="C19">
        <v>5.47</v>
      </c>
      <c r="D19">
        <v>3387</v>
      </c>
      <c r="E19">
        <v>410</v>
      </c>
      <c r="F19">
        <v>1407</v>
      </c>
      <c r="G19">
        <f t="shared" si="0"/>
        <v>1817</v>
      </c>
    </row>
  </sheetData>
  <sheetProtection algorithmName="SHA-512" hashValue="rIH2GWHDKDI3ElrVkwlQx6brLPeg66H7Hnl1qI+Pu3CfG6t9ywkdn9dSoGtRgenTtJJj1WVrsPVr0EDjHOUOrA==" saltValue="pHaeC+km5TWKJ+AWJiaLIw==" spinCount="100000"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Joint Restaint Calcs</vt:lpstr>
      <vt:lpstr>Reference</vt:lpstr>
      <vt:lpstr>Kn</vt:lpstr>
      <vt:lpstr>Pipe Table</vt:lpstr>
    </vt:vector>
  </TitlesOfParts>
  <Company>GPD Group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Frank, Dave</dc:creator>
  <cp:lastModifiedBy>Frank, Dave</cp:lastModifiedBy>
  <dcterms:created xsi:type="dcterms:W3CDTF">2020-01-29T14:56:04Z</dcterms:created>
  <dcterms:modified xsi:type="dcterms:W3CDTF">2020-01-29T20:13:53Z</dcterms:modified>
</cp:coreProperties>
</file>